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kakuj\Desktop\"/>
    </mc:Choice>
  </mc:AlternateContent>
  <xr:revisionPtr revIDLastSave="0" documentId="13_ncr:1_{6475615C-1AFC-4BDD-A7FE-89BBB0C0B673}" xr6:coauthVersionLast="47" xr6:coauthVersionMax="47" xr10:uidLastSave="{00000000-0000-0000-0000-000000000000}"/>
  <bookViews>
    <workbookView xWindow="-28920" yWindow="-1995" windowWidth="29040" windowHeight="17640" tabRatio="738" activeTab="1" xr2:uid="{00000000-000D-0000-FFFF-FFFF00000000}"/>
  </bookViews>
  <sheets>
    <sheet name="rekompensata" sheetId="9" r:id="rId1"/>
    <sheet name="zaliczki" sheetId="11" r:id="rId2"/>
    <sheet name="rozliczenie" sheetId="12" r:id="rId3"/>
  </sheets>
  <calcPr calcId="191029"/>
  <customWorkbookViews>
    <customWorkbookView name="Mielcarek - Widok osobisty" guid="{F9652B38-B334-44BF-A397-B99F8741C8A2}" mergeInterval="0" personalView="1" maximized="1" windowWidth="1362" windowHeight="552" tabRatio="738" activeSheetId="9"/>
    <customWorkbookView name="Jan Mielcarek - Widok osobisty" guid="{D36EBFE2-8538-4DB7-8FF6-F6A800EA7A3F}" mergeInterval="0" personalView="1" maximized="1" xWindow="-8" yWindow="-8" windowWidth="1382" windowHeight="744" tabRatio="738" activeSheetId="5"/>
    <customWorkbookView name="Mielcarek Anna - Widok osobisty" guid="{8E504EF6-7D17-4877-B6FF-8120D883DBDF}" mergeInterval="0" personalView="1" maximized="1" xWindow="-8" yWindow="-8" windowWidth="1296" windowHeight="1000" tabRatio="738" activeSheetId="8"/>
    <customWorkbookView name="Gawlik Monika - Widok osobisty" guid="{19FDF4ED-D5AC-409A-8A1B-F88707F991F3}" mergeInterval="0" personalView="1" maximized="1" xWindow="-8" yWindow="-8" windowWidth="1936" windowHeight="1056" tabRatio="738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9" l="1"/>
  <c r="E6" i="11" l="1"/>
  <c r="E6" i="12" s="1"/>
  <c r="G3" i="9"/>
  <c r="F17" i="9" s="1"/>
  <c r="F30" i="12"/>
  <c r="F26" i="12"/>
  <c r="F22" i="12"/>
  <c r="F18" i="12"/>
  <c r="F20" i="12" s="1"/>
  <c r="F14" i="12"/>
  <c r="F10" i="12"/>
  <c r="F6" i="12"/>
  <c r="E32" i="11"/>
  <c r="E30" i="12" s="1"/>
  <c r="E27" i="11"/>
  <c r="E29" i="11" s="1"/>
  <c r="E28" i="12" s="1"/>
  <c r="E23" i="11"/>
  <c r="E24" i="11" s="1"/>
  <c r="E23" i="12" s="1"/>
  <c r="E19" i="11"/>
  <c r="E18" i="12" s="1"/>
  <c r="E14" i="11"/>
  <c r="E14" i="12" s="1"/>
  <c r="E10" i="11"/>
  <c r="E10" i="12" s="1"/>
  <c r="D35" i="11"/>
  <c r="D30" i="11"/>
  <c r="D26" i="11"/>
  <c r="D22" i="11"/>
  <c r="D17" i="11"/>
  <c r="D13" i="11"/>
  <c r="D9" i="11"/>
  <c r="G17" i="9"/>
  <c r="E34" i="12" s="1"/>
  <c r="D33" i="12"/>
  <c r="D29" i="12"/>
  <c r="D25" i="12"/>
  <c r="D21" i="12"/>
  <c r="D17" i="12"/>
  <c r="D13" i="12"/>
  <c r="D9" i="12"/>
  <c r="E12" i="11"/>
  <c r="E12" i="12" s="1"/>
  <c r="G15" i="9"/>
  <c r="G16" i="9" s="1"/>
  <c r="F15" i="9"/>
  <c r="F16" i="9" s="1"/>
  <c r="E22" i="12" l="1"/>
  <c r="E26" i="12"/>
  <c r="E35" i="11"/>
  <c r="E33" i="12" s="1"/>
  <c r="E16" i="11"/>
  <c r="E16" i="12" s="1"/>
  <c r="E21" i="11"/>
  <c r="E20" i="12" s="1"/>
  <c r="E7" i="11"/>
  <c r="E7" i="12" s="1"/>
  <c r="E37" i="11"/>
  <c r="E13" i="11"/>
  <c r="E13" i="12" s="1"/>
  <c r="E11" i="11"/>
  <c r="E11" i="12" s="1"/>
  <c r="E20" i="11"/>
  <c r="E19" i="12" s="1"/>
  <c r="E25" i="11"/>
  <c r="E24" i="12" s="1"/>
  <c r="E8" i="11"/>
  <c r="E8" i="12" s="1"/>
  <c r="E9" i="11"/>
  <c r="E9" i="12" s="1"/>
  <c r="E28" i="11"/>
  <c r="E27" i="12" s="1"/>
  <c r="E17" i="11"/>
  <c r="E17" i="12" s="1"/>
  <c r="E22" i="11"/>
  <c r="E21" i="12" s="1"/>
  <c r="E15" i="11"/>
  <c r="E15" i="12" s="1"/>
  <c r="E33" i="11"/>
  <c r="E31" i="12" s="1"/>
  <c r="E26" i="11"/>
  <c r="E25" i="12" s="1"/>
  <c r="E34" i="11"/>
  <c r="E32" i="12" s="1"/>
  <c r="E30" i="11"/>
  <c r="E29" i="12" s="1"/>
  <c r="F17" i="12"/>
  <c r="F25" i="12"/>
  <c r="F33" i="12"/>
  <c r="F29" i="12"/>
  <c r="F9" i="12"/>
  <c r="F15" i="12"/>
  <c r="F8" i="12"/>
  <c r="F16" i="12"/>
  <c r="F13" i="12"/>
  <c r="F19" i="12"/>
  <c r="F27" i="12"/>
  <c r="F28" i="12"/>
  <c r="F21" i="12"/>
  <c r="F23" i="12"/>
  <c r="F31" i="12"/>
  <c r="F24" i="12"/>
  <c r="F32" i="12"/>
  <c r="F11" i="12"/>
  <c r="F12" i="12"/>
  <c r="F7" i="12"/>
  <c r="H18" i="9"/>
  <c r="I10" i="9" s="1"/>
  <c r="F18" i="9"/>
  <c r="F19" i="9" s="1"/>
  <c r="G18" i="9"/>
  <c r="G19" i="9" s="1"/>
  <c r="E39" i="11" s="1"/>
  <c r="E35" i="12" l="1"/>
  <c r="H18" i="12" s="1"/>
  <c r="E38" i="11"/>
  <c r="F14" i="11" s="1"/>
  <c r="E36" i="11"/>
  <c r="E18" i="11"/>
  <c r="E31" i="11"/>
  <c r="I9" i="9"/>
  <c r="I8" i="9"/>
  <c r="H6" i="12" l="1"/>
  <c r="H10" i="12"/>
  <c r="G10" i="12"/>
  <c r="G22" i="12"/>
  <c r="G6" i="12"/>
  <c r="G30" i="12"/>
  <c r="G14" i="12"/>
  <c r="F10" i="11"/>
  <c r="F6" i="11"/>
  <c r="G18" i="12"/>
  <c r="F32" i="11"/>
  <c r="F36" i="11" s="1"/>
  <c r="H22" i="12"/>
  <c r="H26" i="12"/>
  <c r="H14" i="12"/>
  <c r="F19" i="11"/>
  <c r="G26" i="12"/>
  <c r="F23" i="11"/>
  <c r="H30" i="12"/>
  <c r="F27" i="11"/>
  <c r="H16" i="9"/>
  <c r="F39" i="11" l="1"/>
  <c r="H34" i="12"/>
  <c r="G34" i="12"/>
  <c r="F18" i="11"/>
  <c r="F31" i="11"/>
  <c r="F38" i="11" l="1"/>
  <c r="H35" i="12"/>
</calcChain>
</file>

<file path=xl/sharedStrings.xml><?xml version="1.0" encoding="utf-8"?>
<sst xmlns="http://schemas.openxmlformats.org/spreadsheetml/2006/main" count="310" uniqueCount="112">
  <si>
    <t>Lp.</t>
  </si>
  <si>
    <t>1.</t>
  </si>
  <si>
    <t>2.</t>
  </si>
  <si>
    <t>Wyszczególnienie</t>
  </si>
  <si>
    <t>MW</t>
  </si>
  <si>
    <t>GJ</t>
  </si>
  <si>
    <t>źródło 2</t>
  </si>
  <si>
    <t>zł</t>
  </si>
  <si>
    <t>3.</t>
  </si>
  <si>
    <t>4.</t>
  </si>
  <si>
    <t>5.</t>
  </si>
  <si>
    <t>6.</t>
  </si>
  <si>
    <t>7.</t>
  </si>
  <si>
    <t>8.</t>
  </si>
  <si>
    <t>9.</t>
  </si>
  <si>
    <t>10.</t>
  </si>
  <si>
    <t>j.m.</t>
  </si>
  <si>
    <t>I.</t>
  </si>
  <si>
    <t>cena ciepła</t>
  </si>
  <si>
    <t>zł/GJ</t>
  </si>
  <si>
    <t>cena za zamówioną moc cieplną</t>
  </si>
  <si>
    <t>cena nośnika ciepła</t>
  </si>
  <si>
    <r>
      <t>zł/m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(t)</t>
    </r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</si>
  <si>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</si>
  <si>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t>źródło 1</t>
  </si>
  <si>
    <t>poszczególne źródła</t>
  </si>
  <si>
    <t>czy należy się rekompensata</t>
  </si>
  <si>
    <t>11.</t>
  </si>
  <si>
    <t xml:space="preserve">średnia cena wytwarzania ciepła                            </t>
  </si>
  <si>
    <t>planowany przychód</t>
  </si>
  <si>
    <t>z ustawy</t>
  </si>
  <si>
    <t>z taryfy lub z cennika</t>
  </si>
  <si>
    <t>planowana zamówiona moc cieplna</t>
  </si>
  <si>
    <t>średnia cena wytwarzania ciepła z rekompensatą</t>
  </si>
  <si>
    <t>z ostatniej kalkulacji</t>
  </si>
  <si>
    <t>obliczony</t>
  </si>
  <si>
    <t>obliczona</t>
  </si>
  <si>
    <t>wielkość należnej rekompensaty</t>
  </si>
  <si>
    <t>porównanie</t>
  </si>
  <si>
    <t xml:space="preserve">Wytwarzanie ciepła w źródle </t>
  </si>
  <si>
    <t>zł/MW/rok</t>
  </si>
  <si>
    <t>udział średnich cen</t>
  </si>
  <si>
    <t xml:space="preserve">GAZU ZIEMNEGO LUB OLEJU OPAŁOWEGO </t>
  </si>
  <si>
    <t>POZOSTAŁYCH PALIW</t>
  </si>
  <si>
    <t>ceny ciepła z rekompensatą dla źródła 2</t>
  </si>
  <si>
    <t>UDZIAŁ PROCENTOWY [%] - źródło 1</t>
  </si>
  <si>
    <t>UDZIAŁ PROCENTOWY [%] - źródło 2</t>
  </si>
  <si>
    <t>% udział ciepła przeznaczony dla odbiorców uprawnionych</t>
  </si>
  <si>
    <t>Przedstawione dane są założeniami</t>
  </si>
  <si>
    <t>Listopad</t>
  </si>
  <si>
    <t>Grudzień</t>
  </si>
  <si>
    <t>Styczeń</t>
  </si>
  <si>
    <t>Luty</t>
  </si>
  <si>
    <t>Marzec</t>
  </si>
  <si>
    <t>Kwiecień</t>
  </si>
  <si>
    <t>źródło ciepła stosujące ciepło z rekompensatą</t>
  </si>
  <si>
    <t>a)</t>
  </si>
  <si>
    <t>b)</t>
  </si>
  <si>
    <t>c)</t>
  </si>
  <si>
    <t>d)</t>
  </si>
  <si>
    <t>e)</t>
  </si>
  <si>
    <t>f)</t>
  </si>
  <si>
    <t>g)</t>
  </si>
  <si>
    <t>%</t>
  </si>
  <si>
    <t>gospodarstw domowych w lokalach mieszkalnych i na potrzeby części wspólnych budynków wielolokalowych, o których mowa w art. 4 ust. 1 pkt 2 i 3 ustawy</t>
  </si>
  <si>
    <t>podmiotów, o których mowa w art. 4 ust. 1 pkt 4, prowadzących działalność w lokalach odbiorców, o których mowa w art. 4 ust. 1 pkt 2 i 3</t>
  </si>
  <si>
    <t>innych</t>
  </si>
  <si>
    <t>-</t>
  </si>
  <si>
    <t>Październik, w tym na potrzeby:</t>
  </si>
  <si>
    <t>wolumen ciepła</t>
  </si>
  <si>
    <t>wysokość rekompensaty</t>
  </si>
  <si>
    <r>
      <rPr>
        <b/>
        <sz val="11"/>
        <rFont val="Times New Roman"/>
        <family val="1"/>
        <charset val="238"/>
      </rPr>
      <t xml:space="preserve">Rzeczywista </t>
    </r>
    <r>
      <rPr>
        <sz val="11"/>
        <rFont val="Times New Roman"/>
        <family val="1"/>
        <charset val="238"/>
      </rPr>
      <t>ilość ciepła z rekompenstą sprzedana w miesiącu:</t>
    </r>
  </si>
  <si>
    <t>wysokość rekompensaty na wartościach planowanych</t>
  </si>
  <si>
    <t>wolumen ciepła na wartościach planowanych</t>
  </si>
  <si>
    <t>wolumen ciepła na watościach rzeczywistych</t>
  </si>
  <si>
    <t>SUMA</t>
  </si>
  <si>
    <t>REKOMPENSATA</t>
  </si>
  <si>
    <t>arkusz "rekompensata"</t>
  </si>
  <si>
    <t>źródło ciepła stosujące ceny ciepła z rekompensatą</t>
  </si>
  <si>
    <t>wysokość rekompensaty na wartościach rzeczywistych</t>
  </si>
  <si>
    <t>RÓŹNICA</t>
  </si>
  <si>
    <t>CIEPŁO WYTWARZANE Z:</t>
  </si>
  <si>
    <t>Średnia cena wytwarzania ciepła z rekompensatą</t>
  </si>
  <si>
    <t>Symbol</t>
  </si>
  <si>
    <t>CC</t>
  </si>
  <si>
    <t>CM/SM</t>
  </si>
  <si>
    <t>CN</t>
  </si>
  <si>
    <t>PSC</t>
  </si>
  <si>
    <t>PMZ</t>
  </si>
  <si>
    <t>PSN</t>
  </si>
  <si>
    <t>CT</t>
  </si>
  <si>
    <t>CR</t>
  </si>
  <si>
    <t>CCR/SCR</t>
  </si>
  <si>
    <t>CMR/SMR</t>
  </si>
  <si>
    <t>CNR</t>
  </si>
  <si>
    <t>ZŁ</t>
  </si>
  <si>
    <t>OKRES II</t>
  </si>
  <si>
    <t>OKRES I</t>
  </si>
  <si>
    <t>OKRES III</t>
  </si>
  <si>
    <t>wartość szacowana przez odbiorcę</t>
  </si>
  <si>
    <r>
      <rPr>
        <b/>
        <sz val="11"/>
        <rFont val="Times New Roman"/>
        <family val="1"/>
        <charset val="238"/>
      </rPr>
      <t>Planowane</t>
    </r>
    <r>
      <rPr>
        <sz val="11"/>
        <rFont val="Times New Roman"/>
        <family val="1"/>
        <charset val="238"/>
      </rPr>
      <t xml:space="preserve"> ilości ciepła sprzedanego w miesiącach:</t>
    </r>
  </si>
  <si>
    <t>Obliczenie wielkości rekompensaty netto dla danego źródła</t>
  </si>
  <si>
    <t>na podstawie wystawionych faktur</t>
  </si>
  <si>
    <t>Obliczenie wielkości miesięcznych rekompensat netto dla danego źródła</t>
  </si>
  <si>
    <t>Rozliczenie miesięcznych rekompensat netto dla danego źródła</t>
  </si>
  <si>
    <t>planowana ilość ciepła dla danego źródła ciepła*</t>
  </si>
  <si>
    <t>planownana ilość sprzedanego nośnika ciepła**</t>
  </si>
  <si>
    <t>W***</t>
  </si>
  <si>
    <t>***W - ilość sprzedanego ciepła z danego źródła ciepła lub z grupy źródeł ciepła, w miesięcznym okresie rozliczeniowym, dla odbiorców, o których mowa w art. 4 ust. 1 [GJ],</t>
  </si>
  <si>
    <r>
      <t xml:space="preserve">**zgodnie z zaplanowaną ilością nośnika ciepła dostarczanego do sieci ciepłowniczych w celu napełniania i uzupełniania jego ubytków w tych sieciach, oraz sprzedaży tego nośnika odbiorcom w celu napełniania instalcji odbiorczych i uzupełnienia ubytków wody w tych instalcjach na podstawie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>20 ww. rozporządzenia.
W przypadku stosowania stawki opłaty miesięcznej za zamówioną moc cieponą i ctawki opłaty za ciepło w wierszu 6 wpisywać należy wartość "0".</t>
    </r>
  </si>
  <si>
    <r>
      <t xml:space="preserve">*zgodnie z definicją "Q" zawartą w </t>
    </r>
    <r>
      <rPr>
        <sz val="10"/>
        <rFont val="Calibri"/>
        <family val="2"/>
        <charset val="238"/>
      </rPr>
      <t>§</t>
    </r>
    <r>
      <rPr>
        <sz val="9"/>
        <rFont val="Times New Roman"/>
        <family val="1"/>
        <charset val="238"/>
      </rPr>
      <t>19 rozporządzenia Ministra Klimatu z dnia 7 kwietnia 2020 r. w sprawie szczegółowych zasad kształtowania i kalkulacji taryf oraz rozliczeń z tytułu zaopatrzenia w ciepło (Dz.U. z 2020 r. poz. 718 z późn. zm.)</t>
    </r>
    <r>
      <rPr>
        <sz val="10"/>
        <rFont val="Times New Roman"/>
        <family val="1"/>
        <charset val="238"/>
      </rPr>
      <t xml:space="preserve"> lub dla przedsiębiorstw określonych w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7 ust. 8 zgodnie z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>21 tego rozporządzenia</t>
    </r>
    <r>
      <rPr>
        <sz val="7.3"/>
        <rFont val="Times New Roman"/>
        <family val="1"/>
        <charset val="238"/>
      </rPr>
      <t>.</t>
    </r>
  </si>
  <si>
    <t>planowana ilość ciepła dla danego źródła ciepła w orkesie październik - kwiecień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</si>
</sst>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#,##0.0"/>
  </numFmts>
  <fonts count="18">
    <font>
      <sz val="10"/>
      <name val="Arial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6"/>
      <name val="Times New Roman"/>
      <family val="1"/>
      <charset val="238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sz val="7.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/>
      <bottom style="thin">
        <color auto="1"/>
      </bottom>
      <diagonal/>
    </border>
    <border>
      <left/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auto="1"/>
      </right>
      <top/>
      <bottom style="thin">
        <color rgb="FF0070C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 style="thin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70C0"/>
      </bottom>
      <diagonal/>
    </border>
    <border>
      <left/>
      <right style="thin">
        <color rgb="FF0070C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0">
    <xf numFmtId="0" fontId="0" fillId="0" borderId="0" xfId="0"/>
    <xf numFmtId="4" fontId="6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2" fontId="6" fillId="0" borderId="3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4" fontId="6" fillId="0" borderId="28" xfId="0" applyNumberFormat="1" applyFont="1" applyBorder="1" applyAlignment="1">
      <alignment vertical="center"/>
    </xf>
    <xf numFmtId="4" fontId="6" fillId="0" borderId="29" xfId="0" applyNumberFormat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9" fontId="6" fillId="0" borderId="30" xfId="3" applyFont="1" applyBorder="1" applyAlignment="1">
      <alignment vertical="center"/>
    </xf>
    <xf numFmtId="165" fontId="6" fillId="0" borderId="30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165" fontId="6" fillId="0" borderId="37" xfId="0" applyNumberFormat="1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9" fontId="6" fillId="0" borderId="38" xfId="3" applyFont="1" applyBorder="1" applyAlignment="1">
      <alignment vertical="center"/>
    </xf>
    <xf numFmtId="165" fontId="6" fillId="0" borderId="38" xfId="0" applyNumberFormat="1" applyFont="1" applyBorder="1" applyAlignment="1">
      <alignment vertical="center"/>
    </xf>
    <xf numFmtId="165" fontId="6" fillId="0" borderId="31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0" borderId="41" xfId="0" applyNumberFormat="1" applyFont="1" applyBorder="1" applyAlignment="1">
      <alignment vertical="center"/>
    </xf>
    <xf numFmtId="165" fontId="6" fillId="0" borderId="42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10" fontId="6" fillId="0" borderId="0" xfId="3" applyNumberFormat="1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3" fontId="5" fillId="3" borderId="1" xfId="4" applyFont="1" applyFill="1" applyBorder="1" applyAlignment="1">
      <alignment horizontal="right" vertical="center"/>
    </xf>
    <xf numFmtId="43" fontId="6" fillId="0" borderId="0" xfId="4" applyFont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vertical="center"/>
    </xf>
    <xf numFmtId="0" fontId="6" fillId="4" borderId="35" xfId="0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vertical="center"/>
    </xf>
    <xf numFmtId="165" fontId="6" fillId="4" borderId="33" xfId="0" applyNumberFormat="1" applyFont="1" applyFill="1" applyBorder="1" applyAlignment="1">
      <alignment vertical="center"/>
    </xf>
    <xf numFmtId="0" fontId="6" fillId="4" borderId="43" xfId="0" applyFont="1" applyFill="1" applyBorder="1" applyAlignment="1">
      <alignment horizontal="center" vertical="center"/>
    </xf>
    <xf numFmtId="165" fontId="6" fillId="4" borderId="39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9" fontId="13" fillId="0" borderId="0" xfId="3" applyFont="1" applyBorder="1" applyAlignment="1">
      <alignment horizontal="center" vertical="center" wrapText="1"/>
    </xf>
    <xf numFmtId="9" fontId="12" fillId="0" borderId="12" xfId="3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9" fontId="13" fillId="0" borderId="14" xfId="3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vertical="center"/>
    </xf>
    <xf numFmtId="0" fontId="6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vertical="center"/>
    </xf>
    <xf numFmtId="0" fontId="6" fillId="4" borderId="58" xfId="0" applyFont="1" applyFill="1" applyBorder="1" applyAlignment="1">
      <alignment horizontal="center" vertical="center"/>
    </xf>
    <xf numFmtId="165" fontId="6" fillId="4" borderId="58" xfId="0" applyNumberFormat="1" applyFont="1" applyFill="1" applyBorder="1" applyAlignment="1">
      <alignment vertical="center"/>
    </xf>
    <xf numFmtId="165" fontId="6" fillId="4" borderId="59" xfId="0" applyNumberFormat="1" applyFont="1" applyFill="1" applyBorder="1" applyAlignment="1">
      <alignment vertical="center"/>
    </xf>
    <xf numFmtId="0" fontId="6" fillId="4" borderId="60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vertical="center"/>
    </xf>
    <xf numFmtId="0" fontId="6" fillId="4" borderId="61" xfId="0" applyFont="1" applyFill="1" applyBorder="1" applyAlignment="1">
      <alignment horizontal="center" vertical="center"/>
    </xf>
    <xf numFmtId="165" fontId="6" fillId="4" borderId="61" xfId="0" applyNumberFormat="1" applyFont="1" applyFill="1" applyBorder="1" applyAlignment="1">
      <alignment vertical="center"/>
    </xf>
    <xf numFmtId="165" fontId="6" fillId="4" borderId="62" xfId="0" applyNumberFormat="1" applyFont="1" applyFill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165" fontId="6" fillId="0" borderId="64" xfId="0" applyNumberFormat="1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165" fontId="6" fillId="0" borderId="66" xfId="0" applyNumberFormat="1" applyFont="1" applyBorder="1" applyAlignment="1">
      <alignment vertical="center"/>
    </xf>
    <xf numFmtId="0" fontId="6" fillId="4" borderId="67" xfId="0" applyFont="1" applyFill="1" applyBorder="1" applyAlignment="1">
      <alignment horizontal="center" vertical="center"/>
    </xf>
    <xf numFmtId="165" fontId="6" fillId="4" borderId="68" xfId="0" applyNumberFormat="1" applyFont="1" applyFill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9" fontId="6" fillId="0" borderId="69" xfId="3" applyFont="1" applyBorder="1" applyAlignment="1">
      <alignment vertical="center"/>
    </xf>
    <xf numFmtId="165" fontId="6" fillId="0" borderId="29" xfId="0" applyNumberFormat="1" applyFont="1" applyBorder="1" applyAlignment="1">
      <alignment vertical="center"/>
    </xf>
    <xf numFmtId="3" fontId="6" fillId="0" borderId="28" xfId="0" applyNumberFormat="1" applyFont="1" applyBorder="1" applyAlignment="1">
      <alignment vertical="center"/>
    </xf>
    <xf numFmtId="165" fontId="6" fillId="0" borderId="71" xfId="0" applyNumberFormat="1" applyFont="1" applyBorder="1" applyAlignment="1">
      <alignment vertical="center"/>
    </xf>
    <xf numFmtId="165" fontId="6" fillId="0" borderId="72" xfId="0" applyNumberFormat="1" applyFont="1" applyBorder="1" applyAlignment="1">
      <alignment vertical="center"/>
    </xf>
    <xf numFmtId="4" fontId="6" fillId="4" borderId="61" xfId="0" applyNumberFormat="1" applyFont="1" applyFill="1" applyBorder="1" applyAlignment="1">
      <alignment horizontal="center" vertical="center" wrapText="1"/>
    </xf>
    <xf numFmtId="4" fontId="6" fillId="4" borderId="35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4" fontId="6" fillId="0" borderId="4" xfId="0" applyNumberFormat="1" applyFont="1" applyBorder="1" applyAlignment="1">
      <alignment vertical="center" wrapText="1"/>
    </xf>
    <xf numFmtId="165" fontId="6" fillId="0" borderId="40" xfId="0" applyNumberFormat="1" applyFont="1" applyBorder="1" applyAlignment="1">
      <alignment vertical="center" wrapText="1"/>
    </xf>
    <xf numFmtId="0" fontId="6" fillId="4" borderId="35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7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49" xfId="0" applyNumberFormat="1" applyFont="1" applyBorder="1" applyAlignment="1">
      <alignment horizontal="center" vertical="center"/>
    </xf>
    <xf numFmtId="4" fontId="6" fillId="0" borderId="52" xfId="0" applyNumberFormat="1" applyFont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50" xfId="0" applyNumberFormat="1" applyFont="1" applyFill="1" applyBorder="1" applyAlignment="1">
      <alignment horizontal="center" vertical="center"/>
    </xf>
    <xf numFmtId="1" fontId="6" fillId="3" borderId="53" xfId="0" applyNumberFormat="1" applyFont="1" applyFill="1" applyBorder="1" applyAlignment="1">
      <alignment horizontal="center" vertical="center"/>
    </xf>
    <xf numFmtId="1" fontId="6" fillId="3" borderId="54" xfId="0" applyNumberFormat="1" applyFont="1" applyFill="1" applyBorder="1" applyAlignment="1">
      <alignment horizontal="center" vertical="center"/>
    </xf>
    <xf numFmtId="4" fontId="6" fillId="0" borderId="55" xfId="0" applyNumberFormat="1" applyFont="1" applyBorder="1" applyAlignment="1">
      <alignment horizontal="center" vertical="center"/>
    </xf>
    <xf numFmtId="4" fontId="6" fillId="0" borderId="56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9" fontId="12" fillId="0" borderId="11" xfId="3" applyFont="1" applyBorder="1" applyAlignment="1">
      <alignment horizontal="center" vertical="center" wrapText="1"/>
    </xf>
    <xf numFmtId="9" fontId="12" fillId="0" borderId="12" xfId="3" applyFont="1" applyBorder="1" applyAlignment="1">
      <alignment horizontal="center" vertical="center" wrapText="1"/>
    </xf>
    <xf numFmtId="9" fontId="12" fillId="0" borderId="13" xfId="3" applyFont="1" applyBorder="1" applyAlignment="1">
      <alignment horizontal="center" vertical="center" wrapText="1"/>
    </xf>
    <xf numFmtId="9" fontId="12" fillId="0" borderId="15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</cellXfs>
  <cellStyles count="5">
    <cellStyle name="Dziesiętny" xfId="4" builtinId="3"/>
    <cellStyle name="Normalny" xfId="0" builtinId="0"/>
    <cellStyle name="Normalny 4" xfId="1" xr:uid="{00000000-0005-0000-0000-000002000000}"/>
    <cellStyle name="Procentowy" xfId="3" builtinId="5"/>
    <cellStyle name="Procentowy 2 2" xfId="2" xr:uid="{00000000-0005-0000-0000-000005000000}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"/>
  <sheetViews>
    <sheetView zoomScale="90" zoomScaleNormal="90" zoomScaleSheetLayoutView="90" workbookViewId="0">
      <selection activeCell="G11" sqref="G11"/>
    </sheetView>
  </sheetViews>
  <sheetFormatPr defaultColWidth="9.109375" defaultRowHeight="13.2"/>
  <cols>
    <col min="1" max="1" width="9.109375" style="1" customWidth="1"/>
    <col min="2" max="2" width="49.6640625" style="1" customWidth="1"/>
    <col min="3" max="5" width="18" style="1" customWidth="1"/>
    <col min="6" max="6" width="20.33203125" style="1" customWidth="1"/>
    <col min="7" max="7" width="18" style="1" customWidth="1"/>
    <col min="8" max="8" width="9.5546875" style="1" customWidth="1"/>
    <col min="9" max="9" width="11.21875" style="1" customWidth="1"/>
    <col min="10" max="21" width="18" style="1" customWidth="1"/>
    <col min="22" max="16384" width="9.109375" style="1"/>
  </cols>
  <sheetData>
    <row r="1" spans="1:11" ht="47.25" customHeight="1" thickBot="1">
      <c r="A1" s="143" t="s">
        <v>101</v>
      </c>
      <c r="B1" s="144"/>
      <c r="C1" s="144"/>
      <c r="D1" s="145"/>
      <c r="E1" s="145"/>
      <c r="F1" s="145"/>
      <c r="G1" s="145"/>
      <c r="H1" s="145"/>
      <c r="I1" s="146"/>
      <c r="J1" s="2"/>
      <c r="K1" s="2"/>
    </row>
    <row r="2" spans="1:11" ht="54.6" customHeight="1" thickTop="1">
      <c r="A2" s="33"/>
      <c r="B2" s="32" t="s">
        <v>48</v>
      </c>
      <c r="C2" s="32"/>
      <c r="D2" s="89"/>
      <c r="E2" s="81" t="s">
        <v>81</v>
      </c>
      <c r="F2" s="82" t="s">
        <v>42</v>
      </c>
      <c r="G2" s="83" t="s">
        <v>43</v>
      </c>
      <c r="H2" s="153" t="s">
        <v>47</v>
      </c>
      <c r="I2" s="154"/>
      <c r="J2" s="2"/>
      <c r="K2" s="2"/>
    </row>
    <row r="3" spans="1:11" ht="47.25" customHeight="1">
      <c r="A3" s="33"/>
      <c r="B3" s="32"/>
      <c r="C3" s="32"/>
      <c r="D3" s="89"/>
      <c r="E3" s="84" t="s">
        <v>45</v>
      </c>
      <c r="F3" s="85">
        <v>1</v>
      </c>
      <c r="G3" s="86">
        <f>1-F3</f>
        <v>0</v>
      </c>
      <c r="H3" s="155">
        <v>0.3</v>
      </c>
      <c r="I3" s="156"/>
      <c r="J3" s="2"/>
      <c r="K3" s="2"/>
    </row>
    <row r="4" spans="1:11" ht="47.25" customHeight="1" thickBot="1">
      <c r="A4" s="33"/>
      <c r="B4" s="32"/>
      <c r="C4" s="32"/>
      <c r="D4" s="89"/>
      <c r="E4" s="87" t="s">
        <v>46</v>
      </c>
      <c r="F4" s="88">
        <v>0</v>
      </c>
      <c r="G4" s="88">
        <f>1-F4</f>
        <v>1</v>
      </c>
      <c r="H4" s="157">
        <v>0.3</v>
      </c>
      <c r="I4" s="158"/>
      <c r="J4" s="2"/>
      <c r="K4" s="2"/>
    </row>
    <row r="5" spans="1:11" ht="25.5" customHeight="1" thickTop="1">
      <c r="A5" s="150" t="s">
        <v>0</v>
      </c>
      <c r="B5" s="151" t="s">
        <v>3</v>
      </c>
      <c r="C5" s="151" t="s">
        <v>16</v>
      </c>
      <c r="D5" s="151" t="s">
        <v>83</v>
      </c>
      <c r="E5" s="152"/>
      <c r="F5" s="147" t="s">
        <v>25</v>
      </c>
      <c r="G5" s="147"/>
      <c r="H5" s="148"/>
      <c r="I5" s="149"/>
    </row>
    <row r="6" spans="1:11" ht="51.75" customHeight="1">
      <c r="A6" s="150"/>
      <c r="B6" s="151"/>
      <c r="C6" s="151"/>
      <c r="D6" s="151"/>
      <c r="E6" s="151"/>
      <c r="F6" s="19" t="s">
        <v>24</v>
      </c>
      <c r="G6" s="19" t="s">
        <v>6</v>
      </c>
      <c r="H6" s="159" t="s">
        <v>44</v>
      </c>
      <c r="I6" s="160"/>
    </row>
    <row r="7" spans="1:11" ht="27" customHeight="1">
      <c r="A7" s="34" t="s">
        <v>17</v>
      </c>
      <c r="B7" s="20" t="s">
        <v>39</v>
      </c>
      <c r="C7" s="4"/>
      <c r="D7" s="4"/>
      <c r="E7" s="5"/>
      <c r="F7" s="5"/>
      <c r="G7" s="5"/>
      <c r="H7" s="135"/>
      <c r="I7" s="136"/>
    </row>
    <row r="8" spans="1:11" ht="27" customHeight="1">
      <c r="A8" s="35" t="s">
        <v>1</v>
      </c>
      <c r="B8" s="18" t="s">
        <v>18</v>
      </c>
      <c r="C8" s="22" t="s">
        <v>19</v>
      </c>
      <c r="D8" s="22" t="s">
        <v>84</v>
      </c>
      <c r="E8" s="23" t="s">
        <v>31</v>
      </c>
      <c r="F8" s="21">
        <v>50</v>
      </c>
      <c r="G8" s="7">
        <v>70</v>
      </c>
      <c r="H8" s="69" t="s">
        <v>92</v>
      </c>
      <c r="I8" s="36">
        <f>$H$18*G8</f>
        <v>64.394683544303788</v>
      </c>
    </row>
    <row r="9" spans="1:11" ht="27" customHeight="1">
      <c r="A9" s="35" t="s">
        <v>2</v>
      </c>
      <c r="B9" s="18" t="s">
        <v>20</v>
      </c>
      <c r="C9" s="16" t="s">
        <v>40</v>
      </c>
      <c r="D9" s="16" t="s">
        <v>85</v>
      </c>
      <c r="E9" s="23" t="s">
        <v>31</v>
      </c>
      <c r="F9" s="21">
        <v>100000</v>
      </c>
      <c r="G9" s="7">
        <v>150000</v>
      </c>
      <c r="H9" s="69" t="s">
        <v>93</v>
      </c>
      <c r="I9" s="36">
        <f>$H$18*G9</f>
        <v>137988.60759493668</v>
      </c>
    </row>
    <row r="10" spans="1:11" ht="27" customHeight="1">
      <c r="A10" s="35" t="s">
        <v>8</v>
      </c>
      <c r="B10" s="18" t="s">
        <v>21</v>
      </c>
      <c r="C10" s="16" t="s">
        <v>22</v>
      </c>
      <c r="D10" s="16" t="s">
        <v>86</v>
      </c>
      <c r="E10" s="23" t="s">
        <v>31</v>
      </c>
      <c r="F10" s="21">
        <v>0</v>
      </c>
      <c r="G10" s="7">
        <v>0</v>
      </c>
      <c r="H10" s="69" t="s">
        <v>94</v>
      </c>
      <c r="I10" s="36">
        <f>$H$18*G10</f>
        <v>0</v>
      </c>
    </row>
    <row r="11" spans="1:11" ht="27" customHeight="1">
      <c r="A11" s="35" t="s">
        <v>9</v>
      </c>
      <c r="B11" s="118" t="s">
        <v>105</v>
      </c>
      <c r="C11" s="6" t="s">
        <v>5</v>
      </c>
      <c r="D11" s="16" t="s">
        <v>87</v>
      </c>
      <c r="E11" s="8" t="s">
        <v>34</v>
      </c>
      <c r="F11" s="9">
        <v>10000</v>
      </c>
      <c r="G11" s="9">
        <v>7000</v>
      </c>
      <c r="H11" s="116" t="s">
        <v>107</v>
      </c>
      <c r="I11" s="117">
        <v>2100</v>
      </c>
    </row>
    <row r="12" spans="1:11" ht="27" customHeight="1">
      <c r="A12" s="35"/>
      <c r="B12" s="118" t="s">
        <v>111</v>
      </c>
      <c r="C12" s="6"/>
      <c r="D12" s="16"/>
      <c r="E12" s="8"/>
      <c r="F12" s="9"/>
      <c r="G12" s="9"/>
      <c r="H12" s="120"/>
      <c r="I12" s="121"/>
    </row>
    <row r="13" spans="1:11" ht="27" customHeight="1">
      <c r="A13" s="35" t="s">
        <v>10</v>
      </c>
      <c r="B13" s="18" t="s">
        <v>32</v>
      </c>
      <c r="C13" s="6" t="s">
        <v>4</v>
      </c>
      <c r="D13" s="16" t="s">
        <v>88</v>
      </c>
      <c r="E13" s="8" t="s">
        <v>34</v>
      </c>
      <c r="F13" s="10">
        <v>2</v>
      </c>
      <c r="G13" s="10">
        <v>2</v>
      </c>
      <c r="H13" s="126"/>
      <c r="I13" s="127"/>
    </row>
    <row r="14" spans="1:11" ht="27" customHeight="1">
      <c r="A14" s="35" t="s">
        <v>11</v>
      </c>
      <c r="B14" s="119" t="s">
        <v>106</v>
      </c>
      <c r="C14" s="6" t="s">
        <v>23</v>
      </c>
      <c r="D14" s="16" t="s">
        <v>89</v>
      </c>
      <c r="E14" s="8" t="s">
        <v>34</v>
      </c>
      <c r="F14" s="11">
        <v>0</v>
      </c>
      <c r="G14" s="11">
        <v>0</v>
      </c>
      <c r="H14" s="128"/>
      <c r="I14" s="129"/>
    </row>
    <row r="15" spans="1:11" ht="27" customHeight="1">
      <c r="A15" s="35" t="s">
        <v>12</v>
      </c>
      <c r="B15" s="18" t="s">
        <v>29</v>
      </c>
      <c r="C15" s="6" t="s">
        <v>7</v>
      </c>
      <c r="D15" s="16"/>
      <c r="E15" s="12" t="s">
        <v>35</v>
      </c>
      <c r="F15" s="11">
        <f>F8*F11+F9*F13+F10*F14</f>
        <v>700000</v>
      </c>
      <c r="G15" s="11">
        <f>G8*G11+G9*G13+G10*G14</f>
        <v>790000</v>
      </c>
      <c r="H15" s="130"/>
      <c r="I15" s="131"/>
    </row>
    <row r="16" spans="1:11" ht="27" customHeight="1" thickBot="1">
      <c r="A16" s="35" t="s">
        <v>13</v>
      </c>
      <c r="B16" s="18" t="s">
        <v>28</v>
      </c>
      <c r="C16" s="13" t="s">
        <v>19</v>
      </c>
      <c r="D16" s="13" t="s">
        <v>90</v>
      </c>
      <c r="E16" s="17" t="s">
        <v>36</v>
      </c>
      <c r="F16" s="26">
        <f>F15/F11</f>
        <v>70</v>
      </c>
      <c r="G16" s="26">
        <f>G15/G11</f>
        <v>112.85714285714286</v>
      </c>
      <c r="H16" s="137">
        <f>(I8*G11+I9*G13+I10*G14)/G11</f>
        <v>103.81999999999998</v>
      </c>
      <c r="I16" s="138"/>
    </row>
    <row r="17" spans="1:9" ht="27" customHeight="1">
      <c r="A17" s="37" t="s">
        <v>14</v>
      </c>
      <c r="B17" s="25" t="s">
        <v>33</v>
      </c>
      <c r="C17" s="24"/>
      <c r="D17" s="24" t="s">
        <v>91</v>
      </c>
      <c r="E17" s="15" t="s">
        <v>30</v>
      </c>
      <c r="F17" s="27">
        <f>150.95*F3+103.82*G3</f>
        <v>150.94999999999999</v>
      </c>
      <c r="G17" s="90">
        <f>150.95*F4+103.82*G4</f>
        <v>103.82</v>
      </c>
      <c r="H17" s="139" t="s">
        <v>41</v>
      </c>
      <c r="I17" s="140"/>
    </row>
    <row r="18" spans="1:9" ht="27" customHeight="1" thickBot="1">
      <c r="A18" s="35" t="s">
        <v>15</v>
      </c>
      <c r="B18" s="18" t="s">
        <v>26</v>
      </c>
      <c r="C18" s="16" t="s">
        <v>19</v>
      </c>
      <c r="D18" s="16"/>
      <c r="E18" s="28" t="s">
        <v>38</v>
      </c>
      <c r="F18" s="30">
        <f>F16-F17</f>
        <v>-80.949999999999989</v>
      </c>
      <c r="G18" s="91">
        <f>G16-G17</f>
        <v>9.037142857142868</v>
      </c>
      <c r="H18" s="141">
        <f>G17/G16</f>
        <v>0.91992405063291127</v>
      </c>
      <c r="I18" s="142"/>
    </row>
    <row r="19" spans="1:9" ht="27" customHeight="1">
      <c r="A19" s="38" t="s">
        <v>27</v>
      </c>
      <c r="B19" s="39" t="s">
        <v>37</v>
      </c>
      <c r="C19" s="40" t="s">
        <v>7</v>
      </c>
      <c r="D19" s="40"/>
      <c r="E19" s="41" t="s">
        <v>36</v>
      </c>
      <c r="F19" s="42">
        <f>IF((F11*F18*H4)&gt;0,(F11*F18*H4),0)</f>
        <v>0</v>
      </c>
      <c r="G19" s="42">
        <f>IF((G11*G18*H4)&gt;0,(G11*G18*H4),0)</f>
        <v>18978.000000000022</v>
      </c>
      <c r="H19" s="133"/>
      <c r="I19" s="134"/>
    </row>
    <row r="20" spans="1:9" ht="27" customHeight="1"/>
    <row r="21" spans="1:9" ht="27" customHeight="1">
      <c r="B21" s="132" t="s">
        <v>110</v>
      </c>
      <c r="C21" s="132"/>
      <c r="D21" s="132"/>
      <c r="E21" s="132"/>
      <c r="F21" s="132"/>
      <c r="G21" s="132"/>
      <c r="H21" s="132"/>
      <c r="I21" s="132"/>
    </row>
    <row r="22" spans="1:9" ht="27" customHeight="1">
      <c r="B22" s="132" t="s">
        <v>109</v>
      </c>
      <c r="C22" s="132"/>
      <c r="D22" s="132"/>
      <c r="E22" s="132"/>
      <c r="F22" s="132"/>
      <c r="G22" s="132"/>
      <c r="H22" s="132"/>
      <c r="I22" s="132"/>
    </row>
    <row r="23" spans="1:9" ht="25.8" customHeight="1">
      <c r="B23" s="123" t="s">
        <v>108</v>
      </c>
      <c r="C23" s="124"/>
      <c r="D23" s="124"/>
      <c r="E23" s="124"/>
      <c r="F23" s="124"/>
      <c r="G23" s="124"/>
      <c r="H23" s="124"/>
      <c r="I23" s="125"/>
    </row>
  </sheetData>
  <customSheetViews>
    <customSheetView guid="{F9652B38-B334-44BF-A397-B99F8741C8A2}" scale="69" topLeftCell="A34">
      <selection activeCell="B58" sqref="B58"/>
      <pageMargins left="0.7" right="0.7" top="0.75" bottom="0.75" header="0.3" footer="0.3"/>
      <pageSetup paperSize="9" orientation="portrait" r:id="rId1"/>
    </customSheetView>
    <customSheetView guid="{D36EBFE2-8538-4DB7-8FF6-F6A800EA7A3F}" scale="69">
      <selection activeCell="E61" sqref="E61"/>
      <pageMargins left="0.7" right="0.7" top="0.75" bottom="0.75" header="0.3" footer="0.3"/>
      <pageSetup paperSize="9" orientation="portrait" r:id="rId2"/>
    </customSheetView>
    <customSheetView guid="{8E504EF6-7D17-4877-B6FF-8120D883DBDF}" scale="69">
      <selection activeCell="E61" sqref="E61"/>
      <pageMargins left="0.7" right="0.7" top="0.75" bottom="0.75" header="0.3" footer="0.3"/>
      <pageSetup paperSize="9" orientation="portrait" r:id="rId3"/>
    </customSheetView>
    <customSheetView guid="{19FDF4ED-D5AC-409A-8A1B-F88707F991F3}" scale="69">
      <selection activeCell="E61" sqref="E61"/>
      <pageMargins left="0.7" right="0.7" top="0.75" bottom="0.75" header="0.3" footer="0.3"/>
      <pageSetup paperSize="9" orientation="portrait" r:id="rId4"/>
    </customSheetView>
  </customSheetViews>
  <mergeCells count="20">
    <mergeCell ref="H7:I7"/>
    <mergeCell ref="H16:I16"/>
    <mergeCell ref="H17:I17"/>
    <mergeCell ref="H18:I18"/>
    <mergeCell ref="A1:I1"/>
    <mergeCell ref="F5:I5"/>
    <mergeCell ref="A5:A6"/>
    <mergeCell ref="B5:B6"/>
    <mergeCell ref="C5:C6"/>
    <mergeCell ref="E5:E6"/>
    <mergeCell ref="D5:D6"/>
    <mergeCell ref="H2:I2"/>
    <mergeCell ref="H3:I3"/>
    <mergeCell ref="H4:I4"/>
    <mergeCell ref="H6:I6"/>
    <mergeCell ref="B23:I23"/>
    <mergeCell ref="H13:I15"/>
    <mergeCell ref="B21:I21"/>
    <mergeCell ref="B22:I22"/>
    <mergeCell ref="H19:I19"/>
  </mergeCells>
  <conditionalFormatting sqref="F18:G18">
    <cfRule type="cellIs" dxfId="6" priority="1" operator="lessThanOrEqual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paperSize="9" scale="51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84AE-1F69-43E2-9B55-80DC48A0808E}">
  <dimension ref="A1:H42"/>
  <sheetViews>
    <sheetView tabSelected="1" view="pageBreakPreview" topLeftCell="A16" zoomScale="85" zoomScaleNormal="90" zoomScaleSheetLayoutView="85" workbookViewId="0">
      <selection activeCell="C34" sqref="C34"/>
    </sheetView>
  </sheetViews>
  <sheetFormatPr defaultColWidth="9.109375" defaultRowHeight="13.2"/>
  <cols>
    <col min="1" max="1" width="9.109375" style="1" customWidth="1"/>
    <col min="2" max="2" width="49.6640625" style="1" customWidth="1"/>
    <col min="3" max="18" width="18" style="1" customWidth="1"/>
    <col min="19" max="16384" width="9.109375" style="1"/>
  </cols>
  <sheetData>
    <row r="1" spans="1:8" ht="47.25" customHeight="1">
      <c r="A1" s="163" t="s">
        <v>103</v>
      </c>
      <c r="B1" s="163"/>
      <c r="C1" s="163"/>
      <c r="D1" s="163"/>
      <c r="E1" s="163"/>
      <c r="F1" s="163"/>
      <c r="G1" s="2"/>
      <c r="H1" s="2"/>
    </row>
    <row r="2" spans="1:8" ht="25.5" customHeight="1">
      <c r="A2" s="151" t="s">
        <v>0</v>
      </c>
      <c r="B2" s="151" t="s">
        <v>3</v>
      </c>
      <c r="C2" s="151" t="s">
        <v>16</v>
      </c>
      <c r="D2" s="151"/>
      <c r="E2" s="164" t="s">
        <v>55</v>
      </c>
      <c r="F2" s="164"/>
    </row>
    <row r="3" spans="1:8" ht="51.75" customHeight="1">
      <c r="A3" s="151"/>
      <c r="B3" s="151"/>
      <c r="C3" s="151"/>
      <c r="D3" s="151"/>
      <c r="E3" s="19" t="s">
        <v>69</v>
      </c>
      <c r="F3" s="29" t="s">
        <v>70</v>
      </c>
    </row>
    <row r="4" spans="1:8" ht="27" customHeight="1">
      <c r="A4" s="3" t="s">
        <v>17</v>
      </c>
      <c r="B4" s="20" t="s">
        <v>39</v>
      </c>
      <c r="C4" s="4"/>
      <c r="D4" s="5"/>
      <c r="E4" s="5" t="s">
        <v>5</v>
      </c>
      <c r="F4" s="5" t="s">
        <v>95</v>
      </c>
    </row>
    <row r="5" spans="1:8" ht="27" customHeight="1" thickBot="1">
      <c r="A5" s="43" t="s">
        <v>1</v>
      </c>
      <c r="B5" s="44" t="s">
        <v>100</v>
      </c>
      <c r="C5" s="45"/>
      <c r="D5" s="46"/>
      <c r="E5" s="47"/>
      <c r="F5" s="47"/>
    </row>
    <row r="6" spans="1:8" ht="27" customHeight="1" thickTop="1">
      <c r="A6" s="97" t="s">
        <v>56</v>
      </c>
      <c r="B6" s="98" t="s">
        <v>68</v>
      </c>
      <c r="C6" s="99" t="s">
        <v>5</v>
      </c>
      <c r="D6" s="114" t="s">
        <v>99</v>
      </c>
      <c r="E6" s="100">
        <f>0.1*rekompensata!G11</f>
        <v>700</v>
      </c>
      <c r="F6" s="101">
        <f>(E7+E8)*$E$38</f>
        <v>1897.8000000000022</v>
      </c>
    </row>
    <row r="7" spans="1:8" ht="27" customHeight="1">
      <c r="A7" s="102" t="s">
        <v>67</v>
      </c>
      <c r="B7" s="48" t="s">
        <v>64</v>
      </c>
      <c r="C7" s="49" t="s">
        <v>63</v>
      </c>
      <c r="D7" s="50">
        <v>0.2</v>
      </c>
      <c r="E7" s="51">
        <f>D7*E6</f>
        <v>140</v>
      </c>
      <c r="F7" s="103"/>
    </row>
    <row r="8" spans="1:8" ht="27" customHeight="1">
      <c r="A8" s="102" t="s">
        <v>67</v>
      </c>
      <c r="B8" s="48" t="s">
        <v>65</v>
      </c>
      <c r="C8" s="49" t="s">
        <v>63</v>
      </c>
      <c r="D8" s="50">
        <v>0.1</v>
      </c>
      <c r="E8" s="51">
        <f>D8*E6</f>
        <v>70</v>
      </c>
      <c r="F8" s="103"/>
    </row>
    <row r="9" spans="1:8" ht="27" customHeight="1">
      <c r="A9" s="104" t="s">
        <v>67</v>
      </c>
      <c r="B9" s="55" t="s">
        <v>66</v>
      </c>
      <c r="C9" s="56" t="s">
        <v>63</v>
      </c>
      <c r="D9" s="57">
        <f>1-D8-D7</f>
        <v>0.7</v>
      </c>
      <c r="E9" s="58">
        <f>D9*E6</f>
        <v>489.99999999999994</v>
      </c>
      <c r="F9" s="105"/>
    </row>
    <row r="10" spans="1:8" ht="27" customHeight="1">
      <c r="A10" s="106" t="s">
        <v>57</v>
      </c>
      <c r="B10" s="75" t="s">
        <v>49</v>
      </c>
      <c r="C10" s="76" t="s">
        <v>5</v>
      </c>
      <c r="D10" s="122" t="s">
        <v>99</v>
      </c>
      <c r="E10" s="77">
        <f>0.15*rekompensata!G11</f>
        <v>1050</v>
      </c>
      <c r="F10" s="107">
        <f>(E11+E12)*$E$38</f>
        <v>2846.7000000000035</v>
      </c>
    </row>
    <row r="11" spans="1:8" ht="27" customHeight="1">
      <c r="A11" s="102" t="s">
        <v>67</v>
      </c>
      <c r="B11" s="48" t="s">
        <v>64</v>
      </c>
      <c r="C11" s="49" t="s">
        <v>63</v>
      </c>
      <c r="D11" s="50">
        <v>0.2</v>
      </c>
      <c r="E11" s="51">
        <f>D11*E10</f>
        <v>210</v>
      </c>
      <c r="F11" s="103"/>
    </row>
    <row r="12" spans="1:8" ht="27" customHeight="1">
      <c r="A12" s="102" t="s">
        <v>67</v>
      </c>
      <c r="B12" s="48" t="s">
        <v>65</v>
      </c>
      <c r="C12" s="49" t="s">
        <v>63</v>
      </c>
      <c r="D12" s="50">
        <v>0.1</v>
      </c>
      <c r="E12" s="51">
        <f>D12*E10</f>
        <v>105</v>
      </c>
      <c r="F12" s="103"/>
    </row>
    <row r="13" spans="1:8" ht="27" customHeight="1">
      <c r="A13" s="104" t="s">
        <v>67</v>
      </c>
      <c r="B13" s="55" t="s">
        <v>66</v>
      </c>
      <c r="C13" s="56" t="s">
        <v>63</v>
      </c>
      <c r="D13" s="57">
        <f>1-D12-D11</f>
        <v>0.7</v>
      </c>
      <c r="E13" s="58">
        <f>D13*E10</f>
        <v>735</v>
      </c>
      <c r="F13" s="105"/>
    </row>
    <row r="14" spans="1:8" ht="27" customHeight="1">
      <c r="A14" s="106" t="s">
        <v>58</v>
      </c>
      <c r="B14" s="75" t="s">
        <v>50</v>
      </c>
      <c r="C14" s="76" t="s">
        <v>5</v>
      </c>
      <c r="D14" s="122" t="s">
        <v>99</v>
      </c>
      <c r="E14" s="77">
        <f>0.15*rekompensata!G11</f>
        <v>1050</v>
      </c>
      <c r="F14" s="107">
        <f>(E15+E16)*$E$38</f>
        <v>2846.7000000000035</v>
      </c>
    </row>
    <row r="15" spans="1:8" ht="27" customHeight="1">
      <c r="A15" s="102" t="s">
        <v>67</v>
      </c>
      <c r="B15" s="48" t="s">
        <v>64</v>
      </c>
      <c r="C15" s="49" t="s">
        <v>63</v>
      </c>
      <c r="D15" s="50">
        <v>0.2</v>
      </c>
      <c r="E15" s="51">
        <f>D15*E14</f>
        <v>210</v>
      </c>
      <c r="F15" s="103"/>
    </row>
    <row r="16" spans="1:8" ht="27" customHeight="1">
      <c r="A16" s="102" t="s">
        <v>67</v>
      </c>
      <c r="B16" s="48" t="s">
        <v>65</v>
      </c>
      <c r="C16" s="49" t="s">
        <v>63</v>
      </c>
      <c r="D16" s="50">
        <v>0.1</v>
      </c>
      <c r="E16" s="51">
        <f>D16*E14</f>
        <v>105</v>
      </c>
      <c r="F16" s="103"/>
    </row>
    <row r="17" spans="1:6" ht="27" customHeight="1" thickBot="1">
      <c r="A17" s="104" t="s">
        <v>67</v>
      </c>
      <c r="B17" s="55" t="s">
        <v>66</v>
      </c>
      <c r="C17" s="56" t="s">
        <v>63</v>
      </c>
      <c r="D17" s="57">
        <f>1-D16-D15</f>
        <v>0.7</v>
      </c>
      <c r="E17" s="58">
        <f>D17*E14</f>
        <v>735</v>
      </c>
      <c r="F17" s="105"/>
    </row>
    <row r="18" spans="1:6" ht="27" customHeight="1" thickTop="1" thickBot="1">
      <c r="A18" s="161" t="s">
        <v>97</v>
      </c>
      <c r="B18" s="162"/>
      <c r="C18" s="162"/>
      <c r="D18" s="162"/>
      <c r="E18" s="112">
        <f>E7+E8+E11+E12+E15+E16</f>
        <v>840</v>
      </c>
      <c r="F18" s="113">
        <f>F6+F10+F14</f>
        <v>7591.2000000000089</v>
      </c>
    </row>
    <row r="19" spans="1:6" ht="27" customHeight="1" thickTop="1">
      <c r="A19" s="92" t="s">
        <v>59</v>
      </c>
      <c r="B19" s="93" t="s">
        <v>51</v>
      </c>
      <c r="C19" s="94" t="s">
        <v>5</v>
      </c>
      <c r="D19" s="114" t="s">
        <v>99</v>
      </c>
      <c r="E19" s="95">
        <f>0.2*rekompensata!G11</f>
        <v>1400</v>
      </c>
      <c r="F19" s="96">
        <f>(E20+E21)*$E$38</f>
        <v>3795.6000000000045</v>
      </c>
    </row>
    <row r="20" spans="1:6" ht="27" customHeight="1">
      <c r="A20" s="52" t="s">
        <v>67</v>
      </c>
      <c r="B20" s="48" t="s">
        <v>64</v>
      </c>
      <c r="C20" s="49" t="s">
        <v>63</v>
      </c>
      <c r="D20" s="50">
        <v>0.2</v>
      </c>
      <c r="E20" s="51">
        <f>D20*E19</f>
        <v>280</v>
      </c>
      <c r="F20" s="53"/>
    </row>
    <row r="21" spans="1:6" ht="27" customHeight="1">
      <c r="A21" s="52" t="s">
        <v>67</v>
      </c>
      <c r="B21" s="48" t="s">
        <v>65</v>
      </c>
      <c r="C21" s="49" t="s">
        <v>63</v>
      </c>
      <c r="D21" s="50">
        <v>0.1</v>
      </c>
      <c r="E21" s="51">
        <f>D21*E19</f>
        <v>140</v>
      </c>
      <c r="F21" s="53"/>
    </row>
    <row r="22" spans="1:6" ht="27" customHeight="1">
      <c r="A22" s="54" t="s">
        <v>67</v>
      </c>
      <c r="B22" s="55" t="s">
        <v>66</v>
      </c>
      <c r="C22" s="56" t="s">
        <v>63</v>
      </c>
      <c r="D22" s="57">
        <f>1-D21-D20</f>
        <v>0.7</v>
      </c>
      <c r="E22" s="58">
        <f>D22*E19</f>
        <v>979.99999999999989</v>
      </c>
      <c r="F22" s="59"/>
    </row>
    <row r="23" spans="1:6" ht="27" customHeight="1">
      <c r="A23" s="74" t="s">
        <v>60</v>
      </c>
      <c r="B23" s="75" t="s">
        <v>52</v>
      </c>
      <c r="C23" s="76" t="s">
        <v>5</v>
      </c>
      <c r="D23" s="122" t="s">
        <v>99</v>
      </c>
      <c r="E23" s="77">
        <f>0.2*rekompensata!G11</f>
        <v>1400</v>
      </c>
      <c r="F23" s="78">
        <f>(E24+E25)*$E$38</f>
        <v>3795.6000000000045</v>
      </c>
    </row>
    <row r="24" spans="1:6" ht="27" customHeight="1">
      <c r="A24" s="52" t="s">
        <v>67</v>
      </c>
      <c r="B24" s="48" t="s">
        <v>64</v>
      </c>
      <c r="C24" s="49" t="s">
        <v>63</v>
      </c>
      <c r="D24" s="50">
        <v>0.2</v>
      </c>
      <c r="E24" s="51">
        <f>D24*E23</f>
        <v>280</v>
      </c>
      <c r="F24" s="53"/>
    </row>
    <row r="25" spans="1:6" ht="27" customHeight="1">
      <c r="A25" s="52" t="s">
        <v>67</v>
      </c>
      <c r="B25" s="48" t="s">
        <v>65</v>
      </c>
      <c r="C25" s="49" t="s">
        <v>63</v>
      </c>
      <c r="D25" s="50">
        <v>0.1</v>
      </c>
      <c r="E25" s="51">
        <f>D25*E23</f>
        <v>140</v>
      </c>
      <c r="F25" s="53"/>
    </row>
    <row r="26" spans="1:6" ht="27" customHeight="1">
      <c r="A26" s="54" t="s">
        <v>67</v>
      </c>
      <c r="B26" s="55" t="s">
        <v>66</v>
      </c>
      <c r="C26" s="56" t="s">
        <v>63</v>
      </c>
      <c r="D26" s="57">
        <f>1-D25-D24</f>
        <v>0.7</v>
      </c>
      <c r="E26" s="58">
        <f>D26*E23</f>
        <v>979.99999999999989</v>
      </c>
      <c r="F26" s="59"/>
    </row>
    <row r="27" spans="1:6" ht="27" customHeight="1">
      <c r="A27" s="74" t="s">
        <v>61</v>
      </c>
      <c r="B27" s="75" t="s">
        <v>53</v>
      </c>
      <c r="C27" s="76" t="s">
        <v>5</v>
      </c>
      <c r="D27" s="122" t="s">
        <v>99</v>
      </c>
      <c r="E27" s="77">
        <f>0.15*rekompensata!G11</f>
        <v>1050</v>
      </c>
      <c r="F27" s="78">
        <f>(E28+E29)*$E$38</f>
        <v>2846.7000000000035</v>
      </c>
    </row>
    <row r="28" spans="1:6" ht="27" customHeight="1">
      <c r="A28" s="52" t="s">
        <v>67</v>
      </c>
      <c r="B28" s="48" t="s">
        <v>64</v>
      </c>
      <c r="C28" s="49" t="s">
        <v>63</v>
      </c>
      <c r="D28" s="50">
        <v>0.2</v>
      </c>
      <c r="E28" s="51">
        <f>D28*E27</f>
        <v>210</v>
      </c>
      <c r="F28" s="53"/>
    </row>
    <row r="29" spans="1:6" ht="27" customHeight="1">
      <c r="A29" s="52" t="s">
        <v>67</v>
      </c>
      <c r="B29" s="48" t="s">
        <v>65</v>
      </c>
      <c r="C29" s="49" t="s">
        <v>63</v>
      </c>
      <c r="D29" s="50">
        <v>0.1</v>
      </c>
      <c r="E29" s="51">
        <f>D29*E27</f>
        <v>105</v>
      </c>
      <c r="F29" s="53"/>
    </row>
    <row r="30" spans="1:6" ht="27" customHeight="1" thickBot="1">
      <c r="A30" s="54" t="s">
        <v>67</v>
      </c>
      <c r="B30" s="55" t="s">
        <v>66</v>
      </c>
      <c r="C30" s="56" t="s">
        <v>63</v>
      </c>
      <c r="D30" s="57">
        <f>1-D29-D28</f>
        <v>0.7</v>
      </c>
      <c r="E30" s="58">
        <f>D30*E27</f>
        <v>735</v>
      </c>
      <c r="F30" s="59"/>
    </row>
    <row r="31" spans="1:6" ht="27" customHeight="1" thickTop="1" thickBot="1">
      <c r="A31" s="161" t="s">
        <v>96</v>
      </c>
      <c r="B31" s="162"/>
      <c r="C31" s="162"/>
      <c r="D31" s="162"/>
      <c r="E31" s="112">
        <f>E20+E21+E24+E25+E28+E29</f>
        <v>1155</v>
      </c>
      <c r="F31" s="113">
        <f>F19+F23+F27</f>
        <v>10437.900000000012</v>
      </c>
    </row>
    <row r="32" spans="1:6" ht="27" customHeight="1" thickTop="1">
      <c r="A32" s="74" t="s">
        <v>62</v>
      </c>
      <c r="B32" s="75" t="s">
        <v>54</v>
      </c>
      <c r="C32" s="76" t="s">
        <v>5</v>
      </c>
      <c r="D32" s="114" t="s">
        <v>99</v>
      </c>
      <c r="E32" s="77">
        <f>0.05*rekompensata!G11</f>
        <v>350</v>
      </c>
      <c r="F32" s="78">
        <f>(E33+E34)*$E$38</f>
        <v>948.90000000000111</v>
      </c>
    </row>
    <row r="33" spans="1:6" ht="27" customHeight="1">
      <c r="A33" s="52" t="s">
        <v>67</v>
      </c>
      <c r="B33" s="48" t="s">
        <v>64</v>
      </c>
      <c r="C33" s="49" t="s">
        <v>63</v>
      </c>
      <c r="D33" s="50">
        <v>0.2</v>
      </c>
      <c r="E33" s="51">
        <f>D33*E32</f>
        <v>70</v>
      </c>
      <c r="F33" s="53"/>
    </row>
    <row r="34" spans="1:6" ht="27" customHeight="1">
      <c r="A34" s="52" t="s">
        <v>67</v>
      </c>
      <c r="B34" s="48" t="s">
        <v>65</v>
      </c>
      <c r="C34" s="49" t="s">
        <v>63</v>
      </c>
      <c r="D34" s="50">
        <v>0.1</v>
      </c>
      <c r="E34" s="51">
        <f>D34*E32</f>
        <v>35</v>
      </c>
      <c r="F34" s="53"/>
    </row>
    <row r="35" spans="1:6" ht="27" customHeight="1" thickBot="1">
      <c r="A35" s="45" t="s">
        <v>67</v>
      </c>
      <c r="B35" s="44" t="s">
        <v>66</v>
      </c>
      <c r="C35" s="108" t="s">
        <v>63</v>
      </c>
      <c r="D35" s="109">
        <f>1-D34-D33</f>
        <v>0.7</v>
      </c>
      <c r="E35" s="110">
        <f>D35*E32</f>
        <v>244.99999999999997</v>
      </c>
      <c r="F35" s="111"/>
    </row>
    <row r="36" spans="1:6" ht="27" customHeight="1" thickTop="1" thickBot="1">
      <c r="A36" s="161" t="s">
        <v>98</v>
      </c>
      <c r="B36" s="162"/>
      <c r="C36" s="162"/>
      <c r="D36" s="162"/>
      <c r="E36" s="112">
        <f>E33+E34</f>
        <v>105</v>
      </c>
      <c r="F36" s="113">
        <f>F24+F28+F32</f>
        <v>948.90000000000111</v>
      </c>
    </row>
    <row r="37" spans="1:6" ht="27" customHeight="1" thickTop="1">
      <c r="A37" s="14" t="s">
        <v>2</v>
      </c>
      <c r="B37" s="25" t="s">
        <v>33</v>
      </c>
      <c r="C37" s="24" t="s">
        <v>19</v>
      </c>
      <c r="D37" s="24" t="s">
        <v>77</v>
      </c>
      <c r="E37" s="27">
        <f>rekompensata!G17</f>
        <v>103.82</v>
      </c>
      <c r="F37" s="15"/>
    </row>
    <row r="38" spans="1:6" ht="27" customHeight="1">
      <c r="A38" s="6" t="s">
        <v>8</v>
      </c>
      <c r="B38" s="18" t="s">
        <v>26</v>
      </c>
      <c r="C38" s="16" t="s">
        <v>19</v>
      </c>
      <c r="D38" s="28" t="s">
        <v>77</v>
      </c>
      <c r="E38" s="30">
        <f>rekompensata!G18</f>
        <v>9.037142857142868</v>
      </c>
      <c r="F38" s="7">
        <f>F18+F31+F36</f>
        <v>18978.000000000022</v>
      </c>
    </row>
    <row r="39" spans="1:6" ht="27" customHeight="1">
      <c r="A39" s="6" t="s">
        <v>9</v>
      </c>
      <c r="B39" s="18" t="s">
        <v>37</v>
      </c>
      <c r="C39" s="16" t="s">
        <v>7</v>
      </c>
      <c r="D39" s="28" t="s">
        <v>77</v>
      </c>
      <c r="E39" s="7">
        <f>rekompensata!G19</f>
        <v>18978.000000000022</v>
      </c>
      <c r="F39" s="71" t="str">
        <f>IF((F6+F10+F14+F19+F23+F27+F32)=E39,"PRAWDA","NIE")</f>
        <v>PRAWDA</v>
      </c>
    </row>
    <row r="40" spans="1:6" ht="27" customHeight="1"/>
    <row r="41" spans="1:6" ht="27" customHeight="1"/>
    <row r="42" spans="1:6">
      <c r="E42" s="70"/>
    </row>
  </sheetData>
  <mergeCells count="9">
    <mergeCell ref="A18:D18"/>
    <mergeCell ref="A31:D31"/>
    <mergeCell ref="A36:D36"/>
    <mergeCell ref="A1:F1"/>
    <mergeCell ref="A2:A3"/>
    <mergeCell ref="B2:B3"/>
    <mergeCell ref="C2:C3"/>
    <mergeCell ref="D2:D3"/>
    <mergeCell ref="E2:F2"/>
  </mergeCells>
  <conditionalFormatting sqref="E38">
    <cfRule type="cellIs" dxfId="4" priority="1" operator="lessThanOrEqual">
      <formula>0</formula>
    </cfRule>
    <cfRule type="cellIs" dxfId="3" priority="2" operator="greaterThan">
      <formula>0</formula>
    </cfRule>
  </conditionalFormatting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D3E0-EA1C-4407-B33A-A5BCCCFCE5F5}">
  <dimension ref="A1:J37"/>
  <sheetViews>
    <sheetView view="pageBreakPreview" zoomScale="90" zoomScaleNormal="90" zoomScaleSheetLayoutView="90" workbookViewId="0">
      <selection activeCell="B11" sqref="B11"/>
    </sheetView>
  </sheetViews>
  <sheetFormatPr defaultColWidth="9.109375" defaultRowHeight="13.2"/>
  <cols>
    <col min="1" max="1" width="9.109375" style="1" customWidth="1"/>
    <col min="2" max="2" width="49.6640625" style="1" customWidth="1"/>
    <col min="3" max="20" width="18" style="1" customWidth="1"/>
    <col min="21" max="16384" width="9.109375" style="1"/>
  </cols>
  <sheetData>
    <row r="1" spans="1:10" ht="47.25" customHeight="1">
      <c r="A1" s="168" t="s">
        <v>104</v>
      </c>
      <c r="B1" s="168"/>
      <c r="C1" s="168"/>
      <c r="D1" s="168"/>
      <c r="E1" s="168"/>
      <c r="F1" s="168"/>
      <c r="G1" s="168"/>
      <c r="H1" s="31"/>
      <c r="I1" s="2"/>
      <c r="J1" s="2"/>
    </row>
    <row r="2" spans="1:10" ht="25.5" customHeight="1">
      <c r="A2" s="169" t="s">
        <v>0</v>
      </c>
      <c r="B2" s="151" t="s">
        <v>3</v>
      </c>
      <c r="C2" s="151" t="s">
        <v>16</v>
      </c>
      <c r="D2" s="151"/>
      <c r="E2" s="165" t="s">
        <v>78</v>
      </c>
      <c r="F2" s="166"/>
      <c r="G2" s="166"/>
      <c r="H2" s="167"/>
    </row>
    <row r="3" spans="1:10" ht="51.75" customHeight="1">
      <c r="A3" s="169"/>
      <c r="B3" s="151"/>
      <c r="C3" s="151"/>
      <c r="D3" s="151"/>
      <c r="E3" s="29" t="s">
        <v>73</v>
      </c>
      <c r="F3" s="29" t="s">
        <v>74</v>
      </c>
      <c r="G3" s="29" t="s">
        <v>72</v>
      </c>
      <c r="H3" s="29" t="s">
        <v>79</v>
      </c>
    </row>
    <row r="4" spans="1:10" ht="27" customHeight="1">
      <c r="A4" s="63" t="s">
        <v>17</v>
      </c>
      <c r="B4" s="20" t="s">
        <v>39</v>
      </c>
      <c r="C4" s="4"/>
      <c r="D4" s="5"/>
      <c r="E4" s="5"/>
      <c r="F4" s="5"/>
      <c r="G4" s="5"/>
      <c r="H4" s="5"/>
    </row>
    <row r="5" spans="1:10" ht="27" customHeight="1">
      <c r="A5" s="64" t="s">
        <v>1</v>
      </c>
      <c r="B5" s="44" t="s">
        <v>71</v>
      </c>
      <c r="C5" s="45"/>
      <c r="D5" s="46"/>
      <c r="E5" s="47"/>
      <c r="F5" s="47"/>
      <c r="G5" s="47"/>
      <c r="H5" s="60"/>
    </row>
    <row r="6" spans="1:10" ht="27" customHeight="1">
      <c r="A6" s="79" t="s">
        <v>56</v>
      </c>
      <c r="B6" s="75" t="s">
        <v>68</v>
      </c>
      <c r="C6" s="76" t="s">
        <v>5</v>
      </c>
      <c r="D6" s="115" t="s">
        <v>102</v>
      </c>
      <c r="E6" s="77">
        <f>zaliczki!E6</f>
        <v>700</v>
      </c>
      <c r="F6" s="77">
        <f>0.1*rekompensata!G11</f>
        <v>700</v>
      </c>
      <c r="G6" s="80">
        <f>(E7+E8)*$E$35</f>
        <v>1897.8000000000022</v>
      </c>
      <c r="H6" s="80">
        <f>(F7+F8)*$E$35</f>
        <v>948.90000000000111</v>
      </c>
    </row>
    <row r="7" spans="1:10" ht="27" customHeight="1">
      <c r="A7" s="65" t="s">
        <v>67</v>
      </c>
      <c r="B7" s="48" t="s">
        <v>64</v>
      </c>
      <c r="C7" s="49" t="s">
        <v>63</v>
      </c>
      <c r="D7" s="50">
        <v>0.05</v>
      </c>
      <c r="E7" s="51">
        <f>zaliczki!E7</f>
        <v>140</v>
      </c>
      <c r="F7" s="51">
        <f>$D7*F6</f>
        <v>35</v>
      </c>
      <c r="G7" s="51"/>
      <c r="H7" s="61"/>
    </row>
    <row r="8" spans="1:10" ht="27" customHeight="1">
      <c r="A8" s="65" t="s">
        <v>67</v>
      </c>
      <c r="B8" s="48" t="s">
        <v>65</v>
      </c>
      <c r="C8" s="49" t="s">
        <v>63</v>
      </c>
      <c r="D8" s="50">
        <v>0.1</v>
      </c>
      <c r="E8" s="51">
        <f>zaliczki!E8</f>
        <v>70</v>
      </c>
      <c r="F8" s="51">
        <f>$D8*F6</f>
        <v>70</v>
      </c>
      <c r="G8" s="51"/>
      <c r="H8" s="61"/>
    </row>
    <row r="9" spans="1:10" ht="27" customHeight="1">
      <c r="A9" s="66" t="s">
        <v>67</v>
      </c>
      <c r="B9" s="55" t="s">
        <v>66</v>
      </c>
      <c r="C9" s="56" t="s">
        <v>63</v>
      </c>
      <c r="D9" s="57">
        <f>1-D8-D7</f>
        <v>0.85</v>
      </c>
      <c r="E9" s="58">
        <f>zaliczki!E9</f>
        <v>489.99999999999994</v>
      </c>
      <c r="F9" s="58">
        <f>$D9*F6</f>
        <v>595</v>
      </c>
      <c r="G9" s="58"/>
      <c r="H9" s="62"/>
    </row>
    <row r="10" spans="1:10" ht="27" customHeight="1">
      <c r="A10" s="79" t="s">
        <v>57</v>
      </c>
      <c r="B10" s="75" t="s">
        <v>49</v>
      </c>
      <c r="C10" s="76" t="s">
        <v>5</v>
      </c>
      <c r="D10" s="115" t="s">
        <v>102</v>
      </c>
      <c r="E10" s="77">
        <f>zaliczki!E10</f>
        <v>1050</v>
      </c>
      <c r="F10" s="77">
        <f>0.15*rekompensata!G11</f>
        <v>1050</v>
      </c>
      <c r="G10" s="80">
        <f>(E11+E12)*$E$35</f>
        <v>2846.7000000000035</v>
      </c>
      <c r="H10" s="80">
        <f>(F11+F12)*$E$35</f>
        <v>2372.2500000000027</v>
      </c>
    </row>
    <row r="11" spans="1:10" ht="27" customHeight="1">
      <c r="A11" s="65" t="s">
        <v>67</v>
      </c>
      <c r="B11" s="48" t="s">
        <v>64</v>
      </c>
      <c r="C11" s="49" t="s">
        <v>63</v>
      </c>
      <c r="D11" s="50">
        <v>0.1</v>
      </c>
      <c r="E11" s="51">
        <f>zaliczki!E11</f>
        <v>210</v>
      </c>
      <c r="F11" s="51">
        <f>$D11*F10</f>
        <v>105</v>
      </c>
      <c r="G11" s="51"/>
      <c r="H11" s="61"/>
    </row>
    <row r="12" spans="1:10" ht="27" customHeight="1">
      <c r="A12" s="65" t="s">
        <v>67</v>
      </c>
      <c r="B12" s="48" t="s">
        <v>65</v>
      </c>
      <c r="C12" s="49" t="s">
        <v>63</v>
      </c>
      <c r="D12" s="50">
        <v>0.15</v>
      </c>
      <c r="E12" s="51">
        <f>zaliczki!E12</f>
        <v>105</v>
      </c>
      <c r="F12" s="51">
        <f>$D12*F10</f>
        <v>157.5</v>
      </c>
      <c r="G12" s="51"/>
      <c r="H12" s="61"/>
    </row>
    <row r="13" spans="1:10" ht="27" customHeight="1">
      <c r="A13" s="66" t="s">
        <v>67</v>
      </c>
      <c r="B13" s="55" t="s">
        <v>66</v>
      </c>
      <c r="C13" s="56" t="s">
        <v>63</v>
      </c>
      <c r="D13" s="57">
        <f>1-D12-D11</f>
        <v>0.75</v>
      </c>
      <c r="E13" s="58">
        <f>zaliczki!E13</f>
        <v>735</v>
      </c>
      <c r="F13" s="58">
        <f>$D13*F10</f>
        <v>787.5</v>
      </c>
      <c r="G13" s="58"/>
      <c r="H13" s="62"/>
    </row>
    <row r="14" spans="1:10" ht="27" customHeight="1">
      <c r="A14" s="79" t="s">
        <v>58</v>
      </c>
      <c r="B14" s="75" t="s">
        <v>50</v>
      </c>
      <c r="C14" s="76" t="s">
        <v>5</v>
      </c>
      <c r="D14" s="115" t="s">
        <v>102</v>
      </c>
      <c r="E14" s="77">
        <f>zaliczki!E14</f>
        <v>1050</v>
      </c>
      <c r="F14" s="77">
        <f>0.15*rekompensata!G11</f>
        <v>1050</v>
      </c>
      <c r="G14" s="80">
        <f>(E15+E16)*$E$35</f>
        <v>2846.7000000000035</v>
      </c>
      <c r="H14" s="80">
        <f>(F15+F16)*$E$35</f>
        <v>2372.2500000000027</v>
      </c>
    </row>
    <row r="15" spans="1:10" ht="27" customHeight="1">
      <c r="A15" s="65" t="s">
        <v>67</v>
      </c>
      <c r="B15" s="48" t="s">
        <v>64</v>
      </c>
      <c r="C15" s="49" t="s">
        <v>63</v>
      </c>
      <c r="D15" s="50">
        <v>0.1</v>
      </c>
      <c r="E15" s="51">
        <f>zaliczki!E15</f>
        <v>210</v>
      </c>
      <c r="F15" s="51">
        <f>$D15*F14</f>
        <v>105</v>
      </c>
      <c r="G15" s="51"/>
      <c r="H15" s="61"/>
    </row>
    <row r="16" spans="1:10" ht="27" customHeight="1">
      <c r="A16" s="65" t="s">
        <v>67</v>
      </c>
      <c r="B16" s="48" t="s">
        <v>65</v>
      </c>
      <c r="C16" s="49" t="s">
        <v>63</v>
      </c>
      <c r="D16" s="50">
        <v>0.15</v>
      </c>
      <c r="E16" s="51">
        <f>zaliczki!E16</f>
        <v>105</v>
      </c>
      <c r="F16" s="51">
        <f>$D16*F14</f>
        <v>157.5</v>
      </c>
      <c r="G16" s="51"/>
      <c r="H16" s="61"/>
    </row>
    <row r="17" spans="1:8" ht="27" customHeight="1">
      <c r="A17" s="66" t="s">
        <v>67</v>
      </c>
      <c r="B17" s="55" t="s">
        <v>66</v>
      </c>
      <c r="C17" s="56" t="s">
        <v>63</v>
      </c>
      <c r="D17" s="57">
        <f>1-D16-D15</f>
        <v>0.75</v>
      </c>
      <c r="E17" s="58">
        <f>zaliczki!E17</f>
        <v>735</v>
      </c>
      <c r="F17" s="58">
        <f>$D17*F14</f>
        <v>787.5</v>
      </c>
      <c r="G17" s="58"/>
      <c r="H17" s="62"/>
    </row>
    <row r="18" spans="1:8" ht="27" customHeight="1">
      <c r="A18" s="79" t="s">
        <v>59</v>
      </c>
      <c r="B18" s="75" t="s">
        <v>51</v>
      </c>
      <c r="C18" s="76" t="s">
        <v>5</v>
      </c>
      <c r="D18" s="115" t="s">
        <v>102</v>
      </c>
      <c r="E18" s="77">
        <f>zaliczki!E19</f>
        <v>1400</v>
      </c>
      <c r="F18" s="77">
        <f>0.2*rekompensata!G11</f>
        <v>1400</v>
      </c>
      <c r="G18" s="80">
        <f>(E19+E20)*$E$35</f>
        <v>3795.6000000000045</v>
      </c>
      <c r="H18" s="80">
        <f>(F19+F20)*$E$35</f>
        <v>3953.7500000000045</v>
      </c>
    </row>
    <row r="19" spans="1:8" ht="27" customHeight="1">
      <c r="A19" s="65" t="s">
        <v>67</v>
      </c>
      <c r="B19" s="48" t="s">
        <v>64</v>
      </c>
      <c r="C19" s="49" t="s">
        <v>63</v>
      </c>
      <c r="D19" s="50">
        <v>0.16250000000000001</v>
      </c>
      <c r="E19" s="51">
        <f>zaliczki!E20</f>
        <v>280</v>
      </c>
      <c r="F19" s="51">
        <f>$D19*F18</f>
        <v>227.5</v>
      </c>
      <c r="G19" s="51"/>
      <c r="H19" s="61"/>
    </row>
    <row r="20" spans="1:8" ht="27" customHeight="1">
      <c r="A20" s="65" t="s">
        <v>67</v>
      </c>
      <c r="B20" s="48" t="s">
        <v>65</v>
      </c>
      <c r="C20" s="49" t="s">
        <v>63</v>
      </c>
      <c r="D20" s="50">
        <v>0.15</v>
      </c>
      <c r="E20" s="51">
        <f>zaliczki!E21</f>
        <v>140</v>
      </c>
      <c r="F20" s="51">
        <f>$D20*F18</f>
        <v>210</v>
      </c>
      <c r="G20" s="51"/>
      <c r="H20" s="61"/>
    </row>
    <row r="21" spans="1:8" ht="27" customHeight="1">
      <c r="A21" s="66" t="s">
        <v>67</v>
      </c>
      <c r="B21" s="55" t="s">
        <v>66</v>
      </c>
      <c r="C21" s="56" t="s">
        <v>63</v>
      </c>
      <c r="D21" s="57">
        <f>1-D20-D19</f>
        <v>0.6875</v>
      </c>
      <c r="E21" s="58">
        <f>zaliczki!E22</f>
        <v>979.99999999999989</v>
      </c>
      <c r="F21" s="58">
        <f>$D21*F18</f>
        <v>962.5</v>
      </c>
      <c r="G21" s="58"/>
      <c r="H21" s="62"/>
    </row>
    <row r="22" spans="1:8" ht="27" customHeight="1">
      <c r="A22" s="79" t="s">
        <v>60</v>
      </c>
      <c r="B22" s="75" t="s">
        <v>52</v>
      </c>
      <c r="C22" s="76" t="s">
        <v>5</v>
      </c>
      <c r="D22" s="115" t="s">
        <v>102</v>
      </c>
      <c r="E22" s="77">
        <f>zaliczki!E23</f>
        <v>1400</v>
      </c>
      <c r="F22" s="77">
        <f>0.2*rekompensata!G11</f>
        <v>1400</v>
      </c>
      <c r="G22" s="80">
        <f>(E23+E24)*$E$35</f>
        <v>3795.6000000000045</v>
      </c>
      <c r="H22" s="80">
        <f>(F23+F24)*$E$35</f>
        <v>4428.2000000000053</v>
      </c>
    </row>
    <row r="23" spans="1:8" ht="27" customHeight="1">
      <c r="A23" s="65" t="s">
        <v>67</v>
      </c>
      <c r="B23" s="48" t="s">
        <v>64</v>
      </c>
      <c r="C23" s="49" t="s">
        <v>63</v>
      </c>
      <c r="D23" s="50">
        <v>0.2</v>
      </c>
      <c r="E23" s="51">
        <f>zaliczki!E24</f>
        <v>280</v>
      </c>
      <c r="F23" s="51">
        <f>$D23*F22</f>
        <v>280</v>
      </c>
      <c r="G23" s="51"/>
      <c r="H23" s="61"/>
    </row>
    <row r="24" spans="1:8" ht="27" customHeight="1">
      <c r="A24" s="65" t="s">
        <v>67</v>
      </c>
      <c r="B24" s="48" t="s">
        <v>65</v>
      </c>
      <c r="C24" s="49" t="s">
        <v>63</v>
      </c>
      <c r="D24" s="50">
        <v>0.15</v>
      </c>
      <c r="E24" s="51">
        <f>zaliczki!E25</f>
        <v>140</v>
      </c>
      <c r="F24" s="51">
        <f>$D24*F22</f>
        <v>210</v>
      </c>
      <c r="G24" s="51"/>
      <c r="H24" s="61"/>
    </row>
    <row r="25" spans="1:8" ht="27" customHeight="1">
      <c r="A25" s="66" t="s">
        <v>67</v>
      </c>
      <c r="B25" s="55" t="s">
        <v>66</v>
      </c>
      <c r="C25" s="56" t="s">
        <v>63</v>
      </c>
      <c r="D25" s="57">
        <f>1-D24-D23</f>
        <v>0.64999999999999991</v>
      </c>
      <c r="E25" s="58">
        <f>zaliczki!E26</f>
        <v>979.99999999999989</v>
      </c>
      <c r="F25" s="58">
        <f>$D25*F22</f>
        <v>909.99999999999989</v>
      </c>
      <c r="G25" s="58"/>
      <c r="H25" s="62"/>
    </row>
    <row r="26" spans="1:8" ht="27" customHeight="1">
      <c r="A26" s="79" t="s">
        <v>61</v>
      </c>
      <c r="B26" s="75" t="s">
        <v>53</v>
      </c>
      <c r="C26" s="76" t="s">
        <v>5</v>
      </c>
      <c r="D26" s="115" t="s">
        <v>102</v>
      </c>
      <c r="E26" s="77">
        <f>zaliczki!E27</f>
        <v>1050</v>
      </c>
      <c r="F26" s="77">
        <f>0.15*rekompensata!G11</f>
        <v>1050</v>
      </c>
      <c r="G26" s="80">
        <f>(E27+E28)*$E$35</f>
        <v>2846.7000000000035</v>
      </c>
      <c r="H26" s="80">
        <f>(F27+F28)*$E$35</f>
        <v>3795.6000000000045</v>
      </c>
    </row>
    <row r="27" spans="1:8" ht="27" customHeight="1">
      <c r="A27" s="65" t="s">
        <v>67</v>
      </c>
      <c r="B27" s="48" t="s">
        <v>64</v>
      </c>
      <c r="C27" s="49" t="s">
        <v>63</v>
      </c>
      <c r="D27" s="50">
        <v>0.25</v>
      </c>
      <c r="E27" s="51">
        <f>zaliczki!E28</f>
        <v>210</v>
      </c>
      <c r="F27" s="51">
        <f>$D27*F26</f>
        <v>262.5</v>
      </c>
      <c r="G27" s="51"/>
      <c r="H27" s="61"/>
    </row>
    <row r="28" spans="1:8" ht="27" customHeight="1">
      <c r="A28" s="65" t="s">
        <v>67</v>
      </c>
      <c r="B28" s="48" t="s">
        <v>65</v>
      </c>
      <c r="C28" s="49" t="s">
        <v>63</v>
      </c>
      <c r="D28" s="50">
        <v>0.15</v>
      </c>
      <c r="E28" s="51">
        <f>zaliczki!E29</f>
        <v>105</v>
      </c>
      <c r="F28" s="51">
        <f>$D28*F26</f>
        <v>157.5</v>
      </c>
      <c r="G28" s="51"/>
      <c r="H28" s="61"/>
    </row>
    <row r="29" spans="1:8" ht="27" customHeight="1">
      <c r="A29" s="66" t="s">
        <v>67</v>
      </c>
      <c r="B29" s="55" t="s">
        <v>66</v>
      </c>
      <c r="C29" s="56" t="s">
        <v>63</v>
      </c>
      <c r="D29" s="57">
        <f>1-D28-D27</f>
        <v>0.6</v>
      </c>
      <c r="E29" s="58">
        <f>zaliczki!E30</f>
        <v>735</v>
      </c>
      <c r="F29" s="58">
        <f>$D29*F26</f>
        <v>630</v>
      </c>
      <c r="G29" s="58"/>
      <c r="H29" s="62"/>
    </row>
    <row r="30" spans="1:8" ht="27" customHeight="1">
      <c r="A30" s="79" t="s">
        <v>62</v>
      </c>
      <c r="B30" s="75" t="s">
        <v>54</v>
      </c>
      <c r="C30" s="76" t="s">
        <v>5</v>
      </c>
      <c r="D30" s="115" t="s">
        <v>102</v>
      </c>
      <c r="E30" s="77">
        <f>zaliczki!E32</f>
        <v>350</v>
      </c>
      <c r="F30" s="77">
        <f>0.05*rekompensata!G11</f>
        <v>350</v>
      </c>
      <c r="G30" s="80">
        <f>(E31+E32)*$E$35</f>
        <v>948.90000000000111</v>
      </c>
      <c r="H30" s="80">
        <f>(F31+F32)*$E$35</f>
        <v>1265.2000000000016</v>
      </c>
    </row>
    <row r="31" spans="1:8" ht="27" customHeight="1">
      <c r="A31" s="65" t="s">
        <v>67</v>
      </c>
      <c r="B31" s="48" t="s">
        <v>64</v>
      </c>
      <c r="C31" s="49" t="s">
        <v>63</v>
      </c>
      <c r="D31" s="50">
        <v>0.25</v>
      </c>
      <c r="E31" s="51">
        <f>zaliczki!E33</f>
        <v>70</v>
      </c>
      <c r="F31" s="51">
        <f>$D31*F30</f>
        <v>87.5</v>
      </c>
      <c r="G31" s="51"/>
      <c r="H31" s="61"/>
    </row>
    <row r="32" spans="1:8" ht="27" customHeight="1">
      <c r="A32" s="65" t="s">
        <v>67</v>
      </c>
      <c r="B32" s="48" t="s">
        <v>65</v>
      </c>
      <c r="C32" s="49" t="s">
        <v>63</v>
      </c>
      <c r="D32" s="50">
        <v>0.15</v>
      </c>
      <c r="E32" s="51">
        <f>zaliczki!E34</f>
        <v>35</v>
      </c>
      <c r="F32" s="51">
        <f>$D32*F30</f>
        <v>52.5</v>
      </c>
      <c r="G32" s="51"/>
      <c r="H32" s="61"/>
    </row>
    <row r="33" spans="1:8" ht="27" customHeight="1">
      <c r="A33" s="66" t="s">
        <v>67</v>
      </c>
      <c r="B33" s="55" t="s">
        <v>66</v>
      </c>
      <c r="C33" s="56" t="s">
        <v>63</v>
      </c>
      <c r="D33" s="57">
        <f>1-D32-D31</f>
        <v>0.6</v>
      </c>
      <c r="E33" s="58">
        <f>zaliczki!E35</f>
        <v>244.99999999999997</v>
      </c>
      <c r="F33" s="58">
        <f>$D33*F30</f>
        <v>210</v>
      </c>
      <c r="G33" s="58"/>
      <c r="H33" s="62"/>
    </row>
    <row r="34" spans="1:8" ht="27" customHeight="1">
      <c r="A34" s="68" t="s">
        <v>2</v>
      </c>
      <c r="B34" s="25" t="s">
        <v>82</v>
      </c>
      <c r="C34" s="24"/>
      <c r="D34" s="24" t="s">
        <v>77</v>
      </c>
      <c r="E34" s="27">
        <f>rekompensata!G17</f>
        <v>103.82</v>
      </c>
      <c r="F34" s="27" t="s">
        <v>75</v>
      </c>
      <c r="G34" s="72">
        <f>SUM(G6+G10+G14+G18+G22+G26+G30)</f>
        <v>18978.000000000022</v>
      </c>
      <c r="H34" s="72">
        <f>SUM(H6+H10+H14+H18+H22+H26+H30)</f>
        <v>19136.150000000023</v>
      </c>
    </row>
    <row r="35" spans="1:8" ht="27" customHeight="1">
      <c r="A35" s="67" t="s">
        <v>8</v>
      </c>
      <c r="B35" s="18" t="s">
        <v>76</v>
      </c>
      <c r="C35" s="16" t="s">
        <v>19</v>
      </c>
      <c r="D35" s="28" t="s">
        <v>77</v>
      </c>
      <c r="E35" s="30">
        <f>rekompensata!G18</f>
        <v>9.037142857142868</v>
      </c>
      <c r="F35"/>
      <c r="G35" s="69" t="s">
        <v>80</v>
      </c>
      <c r="H35" s="73">
        <f>H34-G34</f>
        <v>158.15000000000146</v>
      </c>
    </row>
    <row r="36" spans="1:8" ht="27" customHeight="1"/>
    <row r="37" spans="1:8" ht="27" customHeight="1"/>
  </sheetData>
  <mergeCells count="6">
    <mergeCell ref="E2:H2"/>
    <mergeCell ref="A1:G1"/>
    <mergeCell ref="A2:A3"/>
    <mergeCell ref="B2:B3"/>
    <mergeCell ref="C2:C3"/>
    <mergeCell ref="D2:D3"/>
  </mergeCells>
  <conditionalFormatting sqref="E35">
    <cfRule type="cellIs" dxfId="2" priority="2" operator="lessThanOrEqual">
      <formula>0</formula>
    </cfRule>
    <cfRule type="cellIs" dxfId="1" priority="3" operator="greaterThan">
      <formula>0</formula>
    </cfRule>
  </conditionalFormatting>
  <conditionalFormatting sqref="H35">
    <cfRule type="cellIs" dxfId="0" priority="1" operator="greaterThan">
      <formula>0</formula>
    </cfRule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rekompensata</vt:lpstr>
      <vt:lpstr>zaliczki</vt:lpstr>
      <vt:lpstr>rozliczenie</vt:lpstr>
    </vt:vector>
  </TitlesOfParts>
  <Company>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URE249</dc:creator>
  <cp:lastModifiedBy>SKAKUJ Adam</cp:lastModifiedBy>
  <cp:lastPrinted>2020-09-01T20:54:45Z</cp:lastPrinted>
  <dcterms:created xsi:type="dcterms:W3CDTF">2002-05-28T11:53:38Z</dcterms:created>
  <dcterms:modified xsi:type="dcterms:W3CDTF">2022-09-20T05:42:59Z</dcterms:modified>
</cp:coreProperties>
</file>